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90" tabRatio="720"/>
  </bookViews>
  <sheets>
    <sheet name="穿梭车节拍计算" sheetId="10" r:id="rId1"/>
    <sheet name="换层提升机" sheetId="4" r:id="rId2"/>
    <sheet name="料箱提升机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<sst xmlns="http://schemas.openxmlformats.org/spreadsheetml/2006/main" count="154" uniqueCount="112">
  <si>
    <t>穿梭车效率计算</t>
  </si>
  <si>
    <t>穿梭车</t>
  </si>
  <si>
    <t>路径</t>
  </si>
  <si>
    <t>小于2.67m</t>
  </si>
  <si>
    <t>大于2.67m</t>
  </si>
  <si>
    <t>耗时</t>
  </si>
  <si>
    <t>入库动作</t>
  </si>
  <si>
    <t>时间（秒）</t>
  </si>
  <si>
    <t>单程行驶时间</t>
  </si>
  <si>
    <t>准备</t>
  </si>
  <si>
    <t>寻址定位</t>
  </si>
  <si>
    <t>料箱入穿梭车</t>
  </si>
  <si>
    <t>车重量</t>
  </si>
  <si>
    <t>120kg/P</t>
  </si>
  <si>
    <t>信号交互</t>
  </si>
  <si>
    <t>穿梭车最大速度（m/s）</t>
  </si>
  <si>
    <t>取货后驶到货位</t>
  </si>
  <si>
    <t>穿梭车加速度（m/s2）</t>
  </si>
  <si>
    <t>加减速距离（m）</t>
  </si>
  <si>
    <t>料箱出穿梭车</t>
  </si>
  <si>
    <t>效率均衡点：最大行程的2/3位置(m)</t>
  </si>
  <si>
    <t>四向换向</t>
  </si>
  <si>
    <t>货叉空载速度（m/s）</t>
  </si>
  <si>
    <t>放货后回到取货点</t>
  </si>
  <si>
    <t>货叉重载速度（m/s）</t>
  </si>
  <si>
    <t>系数</t>
  </si>
  <si>
    <t>穿梭车最大行程（m）</t>
  </si>
  <si>
    <t>合计/s</t>
  </si>
  <si>
    <t>巷道数</t>
  </si>
  <si>
    <t>单机效率/（p/h）</t>
  </si>
  <si>
    <t>单巷道入库设计节拍</t>
  </si>
  <si>
    <t>箱/小时</t>
  </si>
  <si>
    <t>单巷道出库设计节拍</t>
  </si>
  <si>
    <t>穿梭车基础节拍</t>
  </si>
  <si>
    <t>总层数</t>
  </si>
  <si>
    <t>层</t>
  </si>
  <si>
    <t>穿梭车一个循环所需时间</t>
  </si>
  <si>
    <t>单巷道穿梭车设计数量</t>
  </si>
  <si>
    <t>台</t>
  </si>
  <si>
    <t>移库所需时间</t>
  </si>
  <si>
    <t>单巷道节拍</t>
  </si>
  <si>
    <t>换层所需时间</t>
  </si>
  <si>
    <t>类型</t>
  </si>
  <si>
    <t>占出入库比例</t>
  </si>
  <si>
    <t>换层概率</t>
  </si>
  <si>
    <t>挪库概率</t>
  </si>
  <si>
    <t>总概率</t>
  </si>
  <si>
    <t>所需时间</t>
  </si>
  <si>
    <t>入库</t>
  </si>
  <si>
    <t>入库换层</t>
  </si>
  <si>
    <t>入库不换层</t>
  </si>
  <si>
    <t>出库</t>
  </si>
  <si>
    <t>出库换层并移库</t>
  </si>
  <si>
    <t>出库换层不移库</t>
  </si>
  <si>
    <t>出库不换层并移库</t>
  </si>
  <si>
    <t>出库不换层不移库</t>
  </si>
  <si>
    <t>穿梭车经历换层移库后的节拍</t>
  </si>
  <si>
    <t>单机能力（箱/小时）</t>
  </si>
  <si>
    <t>复合效率</t>
  </si>
  <si>
    <t>复合增加的时间</t>
  </si>
  <si>
    <t>单机复合能力（箱/小时）</t>
  </si>
  <si>
    <t xml:space="preserve">单巷道设备能力（箱/小时） </t>
  </si>
  <si>
    <t>综合利用率</t>
  </si>
  <si>
    <t>一般75~80%</t>
  </si>
  <si>
    <t>穿梭车总台数</t>
  </si>
  <si>
    <t>注：以上为理论计算效率，已实际为准，不作为验收依据</t>
  </si>
  <si>
    <t>注：</t>
  </si>
  <si>
    <t>1、双深位设计，入库2次正常入库，取货时靠近巷道货位正常取货、远离巷道货位的货位取货时需要将前面货位挪走才能正常取货，即正常情况下2入2出在双深位情况下变为2入1出+挪出1+挪入1+出1，即3入3出（其中招挪库距离设计为10米，即10米处预留挪库所需的空货位）
挪库取货6秒+挪库移动4秒+挪库存货6秒+回双深取货点6秒=22秒
即双深位挪库1次会额外增加22秒的时间</t>
  </si>
  <si>
    <t>2、复合作业在入库作业单循环的基础上，增加了出库作业：加速减速定位 8秒、取货1次6秒、存货1次6秒，小计20秒</t>
  </si>
  <si>
    <t>单巷道换层次数（小车换层+入库换层+出库换层）</t>
  </si>
  <si>
    <t>次/小时</t>
  </si>
  <si>
    <t>是否满足作业</t>
  </si>
  <si>
    <t>换层提升机效率</t>
  </si>
  <si>
    <t>利用率</t>
  </si>
  <si>
    <t>每台车平均换层最大需求次数</t>
  </si>
  <si>
    <t>次/台/小时</t>
  </si>
  <si>
    <t>此处为方案填写项</t>
  </si>
  <si>
    <t>换层提升机效率计算</t>
  </si>
  <si>
    <t>换层提升机</t>
  </si>
  <si>
    <t>小于1.5m</t>
  </si>
  <si>
    <t>大于1.5m</t>
  </si>
  <si>
    <t>入库动作拆解</t>
  </si>
  <si>
    <t>时间/s</t>
  </si>
  <si>
    <t>1层到最高层</t>
  </si>
  <si>
    <t>车入提升机</t>
  </si>
  <si>
    <t>150kg/P</t>
  </si>
  <si>
    <t>提升机最大速度（m/s）</t>
  </si>
  <si>
    <t>提升</t>
  </si>
  <si>
    <t>提升机加速度（m/s2）</t>
  </si>
  <si>
    <t>车出提升机</t>
  </si>
  <si>
    <t>车入提升机速度（m/s）</t>
  </si>
  <si>
    <t>下降</t>
  </si>
  <si>
    <t>提升机最大行程（m）</t>
  </si>
  <si>
    <t>单个巷道二台双工位提升机-双工位暂存线效率计算</t>
  </si>
  <si>
    <t>货物提升机</t>
  </si>
  <si>
    <t>小于2.0m</t>
  </si>
  <si>
    <t>大于2.0m</t>
  </si>
  <si>
    <t>料箱宽M，输送线2工位计1.6M</t>
  </si>
  <si>
    <t>两个货入提升机</t>
  </si>
  <si>
    <t>传输线线速（m/s）</t>
  </si>
  <si>
    <t>货物重量</t>
  </si>
  <si>
    <t>70kg/P</t>
  </si>
  <si>
    <t>两个货出提升机</t>
  </si>
  <si>
    <t>货入提升机速度（m/s）</t>
  </si>
  <si>
    <t>实际/s</t>
  </si>
  <si>
    <t>一个循化料箱数</t>
  </si>
  <si>
    <t>巷道节拍需求</t>
  </si>
  <si>
    <t>实际效率（箱/小时）</t>
  </si>
  <si>
    <t>巷道2台提升机产能</t>
  </si>
  <si>
    <t>巷道提升机数量</t>
  </si>
  <si>
    <t>评估结果</t>
  </si>
  <si>
    <t>巷道提升机总节拍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</si>
</sst>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  <numFmt numFmtId="179" formatCode="0_);[Red]\(0\)"/>
    <numFmt numFmtId="180" formatCode="0.0000_ "/>
  </numFmts>
  <fonts count="27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16"/>
      <color theme="1"/>
      <name val="微软雅黑 Light"/>
      <charset val="134"/>
    </font>
    <font>
      <sz val="8"/>
      <color theme="1"/>
      <name val="微软雅黑 Light"/>
      <charset val="134"/>
    </font>
    <font>
      <b/>
      <sz val="16"/>
      <color theme="1"/>
      <name val="微软雅黑 Light"/>
      <charset val="134"/>
    </font>
    <font>
      <b/>
      <sz val="10"/>
      <color theme="1"/>
      <name val="微软雅黑 Light"/>
      <charset val="134"/>
    </font>
    <font>
      <b/>
      <sz val="8"/>
      <color theme="1"/>
      <name val="微软雅黑 Light"/>
      <charset val="134"/>
    </font>
    <font>
      <sz val="10"/>
      <color rgb="FFFF0000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4" applyNumberFormat="0" applyAlignment="0" applyProtection="0">
      <alignment vertical="center"/>
    </xf>
    <xf numFmtId="0" fontId="17" fillId="9" borderId="15" applyNumberFormat="0" applyAlignment="0" applyProtection="0">
      <alignment vertical="center"/>
    </xf>
    <xf numFmtId="0" fontId="18" fillId="9" borderId="14" applyNumberFormat="0" applyAlignment="0" applyProtection="0">
      <alignment vertical="center"/>
    </xf>
    <xf numFmtId="0" fontId="19" fillId="10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1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49" applyFont="1" applyFill="1" applyBorder="1" applyAlignment="1">
      <alignment horizontal="left" vertical="center"/>
    </xf>
    <xf numFmtId="176" fontId="1" fillId="0" borderId="3" xfId="49" applyNumberFormat="1" applyFont="1" applyFill="1" applyBorder="1" applyAlignment="1">
      <alignment horizontal="left" vertical="center"/>
    </xf>
    <xf numFmtId="0" fontId="1" fillId="0" borderId="4" xfId="49" applyFont="1" applyFill="1" applyBorder="1" applyAlignment="1">
      <alignment horizontal="left" vertical="center"/>
    </xf>
    <xf numFmtId="0" fontId="1" fillId="0" borderId="5" xfId="49" applyFont="1" applyFill="1" applyBorder="1" applyAlignment="1">
      <alignment horizontal="left" vertical="center"/>
    </xf>
    <xf numFmtId="177" fontId="1" fillId="0" borderId="3" xfId="49" applyNumberFormat="1" applyFont="1" applyFill="1" applyBorder="1" applyAlignment="1">
      <alignment horizontal="left" vertical="center"/>
    </xf>
    <xf numFmtId="0" fontId="1" fillId="0" borderId="3" xfId="49" applyFont="1" applyBorder="1" applyAlignment="1">
      <alignment horizontal="left" vertical="center"/>
    </xf>
    <xf numFmtId="177" fontId="1" fillId="0" borderId="3" xfId="49" applyNumberFormat="1" applyFont="1" applyBorder="1" applyAlignment="1">
      <alignment horizontal="left" vertical="center"/>
    </xf>
    <xf numFmtId="176" fontId="1" fillId="0" borderId="3" xfId="49" applyNumberFormat="1" applyFont="1" applyBorder="1" applyAlignment="1">
      <alignment horizontal="left" vertical="center"/>
    </xf>
    <xf numFmtId="9" fontId="1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3" xfId="49" applyFont="1" applyFill="1" applyBorder="1" applyAlignment="1" applyProtection="1">
      <alignment horizontal="left" vertical="center"/>
      <protection locked="0"/>
    </xf>
    <xf numFmtId="0" fontId="1" fillId="0" borderId="6" xfId="49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left" vertical="center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176" fontId="1" fillId="3" borderId="3" xfId="49" applyNumberFormat="1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horizontal="left" vertical="center"/>
    </xf>
    <xf numFmtId="176" fontId="1" fillId="4" borderId="3" xfId="49" applyNumberFormat="1" applyFont="1" applyFill="1" applyBorder="1" applyAlignment="1">
      <alignment horizontal="left" vertical="center"/>
    </xf>
    <xf numFmtId="10" fontId="1" fillId="0" borderId="3" xfId="0" applyNumberFormat="1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76" fontId="3" fillId="2" borderId="3" xfId="0" applyNumberFormat="1" applyFont="1" applyFill="1" applyBorder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3" xfId="49" applyFont="1" applyFill="1" applyBorder="1" applyAlignment="1" applyProtection="1">
      <alignment horizontal="left" vertical="center"/>
      <protection locked="0"/>
    </xf>
    <xf numFmtId="176" fontId="1" fillId="0" borderId="3" xfId="49" applyNumberFormat="1" applyFont="1" applyFill="1" applyBorder="1" applyAlignment="1" applyProtection="1">
      <alignment horizontal="left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176" fontId="1" fillId="0" borderId="3" xfId="49" applyNumberFormat="1" applyFont="1" applyFill="1" applyBorder="1" applyAlignment="1" applyProtection="1">
      <alignment horizontal="left" vertical="center"/>
      <protection hidden="1"/>
    </xf>
    <xf numFmtId="0" fontId="1" fillId="0" borderId="5" xfId="49" applyFont="1" applyFill="1" applyBorder="1" applyAlignment="1" applyProtection="1">
      <alignment horizontal="center" vertical="center"/>
      <protection locked="0"/>
    </xf>
    <xf numFmtId="177" fontId="1" fillId="0" borderId="3" xfId="49" applyNumberFormat="1" applyFont="1" applyFill="1" applyBorder="1" applyAlignment="1" applyProtection="1">
      <alignment horizontal="left" vertical="center"/>
      <protection hidden="1"/>
    </xf>
    <xf numFmtId="0" fontId="1" fillId="0" borderId="3" xfId="49" applyFont="1" applyBorder="1" applyAlignment="1" applyProtection="1">
      <alignment horizontal="left" vertical="center"/>
      <protection locked="0"/>
    </xf>
    <xf numFmtId="177" fontId="1" fillId="0" borderId="3" xfId="49" applyNumberFormat="1" applyFont="1" applyBorder="1" applyAlignment="1" applyProtection="1">
      <alignment horizontal="left" vertical="center"/>
      <protection hidden="1"/>
    </xf>
    <xf numFmtId="176" fontId="1" fillId="0" borderId="3" xfId="49" applyNumberFormat="1" applyFont="1" applyBorder="1" applyAlignment="1" applyProtection="1">
      <alignment horizontal="left" vertical="center"/>
      <protection locked="0"/>
    </xf>
    <xf numFmtId="0" fontId="1" fillId="0" borderId="3" xfId="49" applyFont="1" applyBorder="1" applyAlignment="1" applyProtection="1">
      <alignment vertical="center"/>
      <protection locked="0"/>
    </xf>
    <xf numFmtId="177" fontId="1" fillId="3" borderId="3" xfId="49" applyNumberFormat="1" applyFont="1" applyFill="1" applyBorder="1" applyAlignment="1" applyProtection="1">
      <alignment horizontal="left" vertical="center"/>
      <protection hidden="1"/>
    </xf>
    <xf numFmtId="179" fontId="1" fillId="0" borderId="3" xfId="49" applyNumberFormat="1" applyFont="1" applyFill="1" applyBorder="1" applyAlignment="1" applyProtection="1">
      <alignment horizontal="left" vertical="center"/>
      <protection hidden="1"/>
    </xf>
    <xf numFmtId="0" fontId="1" fillId="0" borderId="6" xfId="49" applyFont="1" applyFill="1" applyBorder="1" applyAlignment="1" applyProtection="1">
      <alignment horizontal="center" vertical="center"/>
      <protection locked="0"/>
    </xf>
    <xf numFmtId="176" fontId="5" fillId="0" borderId="2" xfId="0" applyNumberFormat="1" applyFont="1" applyFill="1" applyBorder="1" applyAlignment="1" applyProtection="1">
      <alignment horizontal="right" vertical="center"/>
      <protection locked="0"/>
    </xf>
    <xf numFmtId="176" fontId="5" fillId="0" borderId="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Protection="1">
      <alignment vertical="center"/>
    </xf>
    <xf numFmtId="176" fontId="3" fillId="0" borderId="0" xfId="0" applyNumberFormat="1" applyFont="1" applyFill="1" applyBorder="1" applyProtection="1">
      <alignment vertical="center"/>
    </xf>
    <xf numFmtId="176" fontId="3" fillId="0" borderId="0" xfId="0" applyNumberFormat="1" applyFont="1" applyAlignment="1" applyProtection="1">
      <alignment horizontal="right" vertical="center"/>
    </xf>
    <xf numFmtId="180" fontId="3" fillId="0" borderId="0" xfId="0" applyNumberFormat="1" applyFont="1" applyProtection="1">
      <alignment vertical="center"/>
    </xf>
    <xf numFmtId="176" fontId="5" fillId="0" borderId="3" xfId="0" applyNumberFormat="1" applyFont="1" applyBorder="1" applyAlignment="1" applyProtection="1">
      <alignment horizontal="center" vertical="center"/>
    </xf>
    <xf numFmtId="176" fontId="5" fillId="0" borderId="3" xfId="0" applyNumberFormat="1" applyFont="1" applyBorder="1" applyAlignment="1" applyProtection="1">
      <alignment horizontal="right" vertical="center"/>
    </xf>
    <xf numFmtId="176" fontId="3" fillId="5" borderId="3" xfId="49" applyNumberFormat="1" applyFont="1" applyFill="1" applyBorder="1" applyAlignment="1" applyProtection="1">
      <alignment horizontal="left" vertical="center"/>
    </xf>
    <xf numFmtId="176" fontId="3" fillId="5" borderId="3" xfId="49" applyNumberFormat="1" applyFont="1" applyFill="1" applyBorder="1" applyAlignment="1" applyProtection="1">
      <alignment horizontal="right" vertical="center"/>
    </xf>
    <xf numFmtId="176" fontId="3" fillId="5" borderId="8" xfId="49" applyNumberFormat="1" applyFont="1" applyFill="1" applyBorder="1" applyAlignment="1" applyProtection="1">
      <alignment horizontal="left" vertical="center"/>
    </xf>
    <xf numFmtId="176" fontId="3" fillId="5" borderId="9" xfId="49" applyNumberFormat="1" applyFont="1" applyFill="1" applyBorder="1" applyAlignment="1" applyProtection="1">
      <alignment horizontal="left" vertical="center"/>
    </xf>
    <xf numFmtId="176" fontId="3" fillId="5" borderId="3" xfId="0" applyNumberFormat="1" applyFont="1" applyFill="1" applyBorder="1" applyAlignment="1" applyProtection="1">
      <alignment horizontal="right" vertical="center"/>
    </xf>
    <xf numFmtId="176" fontId="3" fillId="0" borderId="3" xfId="49" applyNumberFormat="1" applyFont="1" applyFill="1" applyBorder="1" applyAlignment="1" applyProtection="1">
      <alignment horizontal="left" vertical="center"/>
    </xf>
    <xf numFmtId="176" fontId="3" fillId="0" borderId="3" xfId="49" applyNumberFormat="1" applyFont="1" applyFill="1" applyBorder="1" applyAlignment="1" applyProtection="1">
      <alignment horizontal="right" vertical="center"/>
      <protection hidden="1"/>
    </xf>
    <xf numFmtId="176" fontId="3" fillId="0" borderId="3" xfId="49" applyNumberFormat="1" applyFont="1" applyFill="1" applyBorder="1" applyAlignment="1" applyProtection="1">
      <alignment horizontal="left" vertical="center"/>
      <protection hidden="1"/>
    </xf>
    <xf numFmtId="176" fontId="3" fillId="0" borderId="0" xfId="0" applyNumberFormat="1" applyFont="1" applyAlignment="1" applyProtection="1">
      <alignment horizontal="right" vertical="center"/>
      <protection hidden="1"/>
    </xf>
    <xf numFmtId="176" fontId="3" fillId="0" borderId="3" xfId="49" applyNumberFormat="1" applyFont="1" applyBorder="1" applyAlignment="1" applyProtection="1">
      <alignment horizontal="left" vertical="center"/>
    </xf>
    <xf numFmtId="176" fontId="3" fillId="0" borderId="3" xfId="49" applyNumberFormat="1" applyFont="1" applyBorder="1" applyAlignment="1" applyProtection="1">
      <alignment horizontal="left" vertical="center"/>
      <protection hidden="1"/>
    </xf>
    <xf numFmtId="176" fontId="3" fillId="0" borderId="3" xfId="49" applyNumberFormat="1" applyFont="1" applyBorder="1" applyAlignment="1" applyProtection="1">
      <alignment horizontal="right" vertical="center"/>
    </xf>
    <xf numFmtId="176" fontId="3" fillId="0" borderId="3" xfId="49" applyNumberFormat="1" applyFont="1" applyFill="1" applyBorder="1" applyAlignment="1" applyProtection="1">
      <alignment horizontal="right" vertical="center"/>
    </xf>
    <xf numFmtId="176" fontId="3" fillId="0" borderId="3" xfId="49" applyNumberFormat="1" applyFont="1" applyFill="1" applyBorder="1" applyAlignment="1" applyProtection="1">
      <alignment horizontal="center" vertical="center"/>
    </xf>
    <xf numFmtId="176" fontId="3" fillId="4" borderId="3" xfId="49" applyNumberFormat="1" applyFont="1" applyFill="1" applyBorder="1" applyAlignment="1" applyProtection="1">
      <alignment horizontal="right" vertical="center"/>
    </xf>
    <xf numFmtId="176" fontId="6" fillId="0" borderId="3" xfId="49" applyNumberFormat="1" applyFont="1" applyBorder="1" applyAlignment="1" applyProtection="1">
      <alignment horizontal="left" vertical="center"/>
    </xf>
    <xf numFmtId="176" fontId="6" fillId="6" borderId="3" xfId="49" applyNumberFormat="1" applyFont="1" applyFill="1" applyBorder="1" applyAlignment="1" applyProtection="1">
      <alignment horizontal="left" vertical="center"/>
      <protection hidden="1"/>
    </xf>
    <xf numFmtId="176" fontId="3" fillId="0" borderId="0" xfId="0" applyNumberFormat="1" applyFont="1" applyFill="1" applyProtection="1">
      <alignment vertical="center"/>
    </xf>
    <xf numFmtId="176" fontId="3" fillId="6" borderId="3" xfId="0" applyNumberFormat="1" applyFont="1" applyFill="1" applyBorder="1" applyAlignment="1" applyProtection="1">
      <alignment vertical="center"/>
    </xf>
    <xf numFmtId="176" fontId="3" fillId="2" borderId="3" xfId="0" applyNumberFormat="1" applyFont="1" applyFill="1" applyBorder="1" applyAlignment="1" applyProtection="1">
      <alignment horizontal="right" vertical="center"/>
    </xf>
    <xf numFmtId="176" fontId="6" fillId="0" borderId="3" xfId="49" applyNumberFormat="1" applyFont="1" applyBorder="1" applyAlignment="1" applyProtection="1">
      <alignment horizontal="left" vertical="center"/>
      <protection hidden="1"/>
    </xf>
    <xf numFmtId="176" fontId="3" fillId="0" borderId="3" xfId="0" applyNumberFormat="1" applyFont="1" applyFill="1" applyBorder="1" applyProtection="1">
      <alignment vertical="center"/>
    </xf>
    <xf numFmtId="176" fontId="3" fillId="4" borderId="3" xfId="0" applyNumberFormat="1" applyFont="1" applyFill="1" applyBorder="1" applyAlignment="1" applyProtection="1">
      <alignment horizontal="right" vertical="center"/>
    </xf>
    <xf numFmtId="176" fontId="3" fillId="0" borderId="3" xfId="0" applyNumberFormat="1" applyFont="1" applyBorder="1" applyProtection="1">
      <alignment vertical="center"/>
    </xf>
    <xf numFmtId="176" fontId="3" fillId="0" borderId="1" xfId="49" applyNumberFormat="1" applyFont="1" applyFill="1" applyBorder="1" applyAlignment="1" applyProtection="1">
      <alignment horizontal="center" vertical="center"/>
    </xf>
    <xf numFmtId="176" fontId="3" fillId="0" borderId="7" xfId="49" applyNumberFormat="1" applyFont="1" applyFill="1" applyBorder="1" applyAlignment="1" applyProtection="1">
      <alignment horizontal="center" vertical="center"/>
    </xf>
    <xf numFmtId="176" fontId="6" fillId="0" borderId="3" xfId="49" applyNumberFormat="1" applyFont="1" applyFill="1" applyBorder="1" applyAlignment="1" applyProtection="1">
      <alignment horizontal="left" vertical="center"/>
    </xf>
    <xf numFmtId="0" fontId="0" fillId="0" borderId="0" xfId="0" applyProtection="1">
      <alignment vertical="center"/>
    </xf>
    <xf numFmtId="176" fontId="3" fillId="5" borderId="3" xfId="0" applyNumberFormat="1" applyFont="1" applyFill="1" applyBorder="1" applyAlignment="1" applyProtection="1">
      <alignment vertical="center"/>
    </xf>
    <xf numFmtId="176" fontId="3" fillId="0" borderId="6" xfId="0" applyNumberFormat="1" applyFont="1" applyBorder="1" applyProtection="1">
      <alignment vertical="center"/>
    </xf>
    <xf numFmtId="176" fontId="3" fillId="4" borderId="6" xfId="0" applyNumberFormat="1" applyFont="1" applyFill="1" applyBorder="1" applyAlignment="1" applyProtection="1">
      <alignment horizontal="right" vertical="center"/>
    </xf>
    <xf numFmtId="176" fontId="3" fillId="0" borderId="3" xfId="0" applyNumberFormat="1" applyFont="1" applyBorder="1" applyProtection="1">
      <alignment vertical="center"/>
      <protection hidden="1"/>
    </xf>
    <xf numFmtId="176" fontId="3" fillId="3" borderId="6" xfId="0" applyNumberFormat="1" applyFont="1" applyFill="1" applyBorder="1" applyAlignment="1" applyProtection="1">
      <alignment horizontal="right" vertical="center"/>
    </xf>
    <xf numFmtId="176" fontId="3" fillId="0" borderId="6" xfId="0" applyNumberFormat="1" applyFont="1" applyBorder="1" applyAlignment="1" applyProtection="1">
      <alignment horizontal="right" vertical="center"/>
      <protection hidden="1"/>
    </xf>
    <xf numFmtId="178" fontId="3" fillId="0" borderId="3" xfId="0" applyNumberFormat="1" applyFont="1" applyBorder="1" applyProtection="1">
      <alignment vertical="center"/>
      <protection hidden="1"/>
    </xf>
    <xf numFmtId="176" fontId="3" fillId="5" borderId="3" xfId="0" applyNumberFormat="1" applyFont="1" applyFill="1" applyBorder="1" applyAlignment="1" applyProtection="1">
      <alignment horizontal="justify" vertical="center"/>
    </xf>
    <xf numFmtId="176" fontId="3" fillId="0" borderId="4" xfId="0" applyNumberFormat="1" applyFont="1" applyFill="1" applyBorder="1" applyAlignment="1" applyProtection="1">
      <alignment horizontal="left" vertical="center"/>
    </xf>
    <xf numFmtId="176" fontId="3" fillId="0" borderId="4" xfId="0" applyNumberFormat="1" applyFont="1" applyFill="1" applyBorder="1" applyAlignment="1" applyProtection="1">
      <alignment horizontal="right" vertical="center"/>
      <protection hidden="1"/>
    </xf>
    <xf numFmtId="176" fontId="3" fillId="0" borderId="3" xfId="0" applyNumberFormat="1" applyFont="1" applyFill="1" applyBorder="1" applyAlignment="1" applyProtection="1">
      <alignment horizontal="right" vertical="center"/>
    </xf>
    <xf numFmtId="176" fontId="3" fillId="0" borderId="3" xfId="0" applyNumberFormat="1" applyFont="1" applyFill="1" applyBorder="1" applyAlignment="1" applyProtection="1">
      <alignment horizontal="justify" vertical="center"/>
    </xf>
    <xf numFmtId="176" fontId="3" fillId="0" borderId="6" xfId="0" applyNumberFormat="1" applyFont="1" applyFill="1" applyBorder="1" applyAlignment="1" applyProtection="1">
      <alignment horizontal="left" vertical="center"/>
    </xf>
    <xf numFmtId="176" fontId="3" fillId="0" borderId="6" xfId="0" applyNumberFormat="1" applyFont="1" applyFill="1" applyBorder="1" applyAlignment="1" applyProtection="1">
      <alignment horizontal="right" vertical="center"/>
      <protection hidden="1"/>
    </xf>
    <xf numFmtId="176" fontId="3" fillId="0" borderId="3" xfId="0" applyNumberFormat="1" applyFont="1" applyFill="1" applyBorder="1" applyAlignment="1" applyProtection="1">
      <alignment horizontal="right" vertical="center"/>
      <protection hidden="1"/>
    </xf>
    <xf numFmtId="176" fontId="3" fillId="5" borderId="1" xfId="0" applyNumberFormat="1" applyFont="1" applyFill="1" applyBorder="1" applyAlignment="1" applyProtection="1">
      <alignment horizontal="right" vertical="center"/>
    </xf>
    <xf numFmtId="176" fontId="3" fillId="5" borderId="2" xfId="0" applyNumberFormat="1" applyFont="1" applyFill="1" applyBorder="1" applyAlignment="1" applyProtection="1">
      <alignment horizontal="right" vertical="center"/>
    </xf>
    <xf numFmtId="176" fontId="3" fillId="5" borderId="7" xfId="0" applyNumberFormat="1" applyFont="1" applyFill="1" applyBorder="1" applyAlignment="1" applyProtection="1">
      <alignment horizontal="right" vertical="center"/>
    </xf>
    <xf numFmtId="176" fontId="3" fillId="5" borderId="3" xfId="0" applyNumberFormat="1" applyFont="1" applyFill="1" applyBorder="1" applyAlignment="1" applyProtection="1">
      <alignment horizontal="right" vertical="center"/>
      <protection hidden="1"/>
    </xf>
    <xf numFmtId="176" fontId="3" fillId="0" borderId="1" xfId="0" applyNumberFormat="1" applyFont="1" applyBorder="1" applyAlignment="1" applyProtection="1">
      <alignment horizontal="right" vertical="center"/>
    </xf>
    <xf numFmtId="176" fontId="3" fillId="0" borderId="2" xfId="0" applyNumberFormat="1" applyFont="1" applyBorder="1" applyAlignment="1" applyProtection="1">
      <alignment horizontal="right" vertical="center"/>
    </xf>
    <xf numFmtId="176" fontId="3" fillId="0" borderId="7" xfId="0" applyNumberFormat="1" applyFont="1" applyBorder="1" applyAlignment="1" applyProtection="1">
      <alignment horizontal="right" vertical="center"/>
    </xf>
    <xf numFmtId="176" fontId="3" fillId="5" borderId="3" xfId="0" applyNumberFormat="1" applyFont="1" applyFill="1" applyBorder="1" applyAlignment="1" applyProtection="1">
      <alignment horizontal="left" vertical="center"/>
    </xf>
    <xf numFmtId="176" fontId="3" fillId="5" borderId="0" xfId="0" applyNumberFormat="1" applyFont="1" applyFill="1" applyProtection="1">
      <alignment vertical="center"/>
    </xf>
    <xf numFmtId="176" fontId="3" fillId="5" borderId="2" xfId="0" applyNumberFormat="1" applyFont="1" applyFill="1" applyBorder="1" applyAlignment="1" applyProtection="1">
      <alignment horizontal="left" vertical="center"/>
    </xf>
    <xf numFmtId="176" fontId="6" fillId="5" borderId="7" xfId="0" applyNumberFormat="1" applyFont="1" applyFill="1" applyBorder="1" applyAlignment="1" applyProtection="1">
      <alignment horizontal="right" vertical="center"/>
    </xf>
    <xf numFmtId="176" fontId="6" fillId="5" borderId="3" xfId="0" applyNumberFormat="1" applyFont="1" applyFill="1" applyBorder="1" applyAlignment="1" applyProtection="1">
      <alignment horizontal="right" vertical="center"/>
      <protection hidden="1"/>
    </xf>
    <xf numFmtId="176" fontId="6" fillId="0" borderId="3" xfId="0" applyNumberFormat="1" applyFont="1" applyBorder="1" applyAlignment="1" applyProtection="1">
      <alignment horizontal="right" vertical="center"/>
    </xf>
    <xf numFmtId="176" fontId="6" fillId="0" borderId="3" xfId="0" applyNumberFormat="1" applyFont="1" applyBorder="1" applyProtection="1">
      <alignment vertical="center"/>
      <protection hidden="1"/>
    </xf>
    <xf numFmtId="9" fontId="6" fillId="4" borderId="3" xfId="3" applyNumberFormat="1" applyFont="1" applyFill="1" applyBorder="1" applyProtection="1">
      <alignment vertical="center"/>
      <protection hidden="1"/>
    </xf>
    <xf numFmtId="176" fontId="5" fillId="5" borderId="4" xfId="0" applyNumberFormat="1" applyFont="1" applyFill="1" applyBorder="1" applyAlignment="1" applyProtection="1">
      <alignment horizontal="right" vertical="center"/>
    </xf>
    <xf numFmtId="178" fontId="5" fillId="3" borderId="4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left" vertical="center"/>
    </xf>
    <xf numFmtId="176" fontId="5" fillId="0" borderId="2" xfId="0" applyNumberFormat="1" applyFont="1" applyFill="1" applyBorder="1" applyAlignment="1" applyProtection="1">
      <alignment horizontal="right" vertical="center"/>
    </xf>
    <xf numFmtId="176" fontId="5" fillId="0" borderId="7" xfId="0" applyNumberFormat="1" applyFont="1" applyFill="1" applyBorder="1" applyAlignment="1" applyProtection="1">
      <alignment horizontal="center" vertical="center"/>
    </xf>
    <xf numFmtId="176" fontId="3" fillId="0" borderId="10" xfId="0" applyNumberFormat="1" applyFont="1" applyBorder="1" applyProtection="1">
      <alignment vertical="center"/>
    </xf>
    <xf numFmtId="176" fontId="3" fillId="0" borderId="10" xfId="0" applyNumberFormat="1" applyFont="1" applyBorder="1" applyAlignment="1" applyProtection="1">
      <alignment horizontal="right" vertical="center"/>
    </xf>
    <xf numFmtId="176" fontId="3" fillId="0" borderId="0" xfId="0" applyNumberFormat="1" applyFont="1" applyAlignment="1" applyProtection="1">
      <alignment horizontal="left" vertical="center"/>
    </xf>
    <xf numFmtId="176" fontId="3" fillId="0" borderId="0" xfId="0" applyNumberFormat="1" applyFont="1" applyAlignment="1" applyProtection="1">
      <alignment horizontal="left" vertical="center" wrapText="1"/>
    </xf>
    <xf numFmtId="176" fontId="3" fillId="0" borderId="0" xfId="0" applyNumberFormat="1" applyFont="1" applyAlignment="1" applyProtection="1">
      <alignment horizontal="right" vertical="center" wrapText="1"/>
    </xf>
    <xf numFmtId="176" fontId="3" fillId="0" borderId="3" xfId="0" applyNumberFormat="1" applyFont="1" applyBorder="1" applyAlignment="1" applyProtection="1">
      <alignment horizontal="right" vertical="center" wrapText="1"/>
    </xf>
    <xf numFmtId="176" fontId="3" fillId="0" borderId="3" xfId="0" applyNumberFormat="1" applyFont="1" applyBorder="1" applyAlignment="1" applyProtection="1">
      <alignment horizontal="right" vertical="center"/>
    </xf>
    <xf numFmtId="176" fontId="3" fillId="0" borderId="3" xfId="0" applyNumberFormat="1" applyFont="1" applyBorder="1" applyAlignment="1" applyProtection="1">
      <alignment horizontal="center" vertical="center"/>
    </xf>
    <xf numFmtId="9" fontId="3" fillId="0" borderId="3" xfId="3" applyFont="1" applyBorder="1" applyAlignment="1" applyProtection="1">
      <alignment horizontal="center" vertical="center"/>
    </xf>
    <xf numFmtId="176" fontId="3" fillId="0" borderId="0" xfId="0" applyNumberFormat="1" applyFont="1" applyBorder="1" applyProtection="1">
      <alignment vertical="center"/>
    </xf>
    <xf numFmtId="176" fontId="7" fillId="0" borderId="0" xfId="0" applyNumberFormat="1" applyFo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45"/>
  <sheetViews>
    <sheetView tabSelected="1" zoomScale="120" zoomScaleNormal="120" topLeftCell="A2" workbookViewId="0">
      <selection activeCell="J22" sqref="J22"/>
    </sheetView>
  </sheetViews>
  <sheetFormatPr defaultColWidth="8.725" defaultRowHeight="13.5"/>
  <cols>
    <col min="1" max="1" width="8.725" style="44"/>
    <col min="2" max="2" width="24" style="44" customWidth="1"/>
    <col min="3" max="3" width="10" style="46" customWidth="1"/>
    <col min="4" max="5" width="12.6666666666667" style="44" customWidth="1"/>
    <col min="6" max="6" width="7.10833333333333" style="44" customWidth="1"/>
    <col min="7" max="7" width="7.55833333333333" style="44" customWidth="1"/>
    <col min="8" max="8" width="15.1083333333333" style="44" customWidth="1"/>
    <col min="9" max="9" width="8.33333333333333" style="44" customWidth="1"/>
    <col min="10" max="10" width="8.725" style="44"/>
    <col min="11" max="11" width="7.08333333333333" style="44" customWidth="1"/>
    <col min="12" max="14" width="8.725" style="44"/>
    <col min="15" max="15" width="8.725" style="47"/>
    <col min="16" max="16384" width="8.725" style="44"/>
  </cols>
  <sheetData>
    <row r="1" ht="20" customHeight="1"/>
    <row r="2" s="44" customFormat="1" ht="21" customHeight="1" spans="2:16">
      <c r="B2" s="48" t="s">
        <v>0</v>
      </c>
      <c r="C2" s="49"/>
      <c r="D2" s="48"/>
      <c r="E2" s="48"/>
      <c r="F2" s="48"/>
      <c r="G2" s="48"/>
      <c r="H2" s="48"/>
      <c r="I2" s="48"/>
      <c r="O2" s="47"/>
    </row>
    <row r="3" s="44" customFormat="1" spans="2:16">
      <c r="B3" s="50" t="s">
        <v>1</v>
      </c>
      <c r="C3" s="51" t="s">
        <v>2</v>
      </c>
      <c r="D3" s="50" t="s">
        <v>3</v>
      </c>
      <c r="E3" s="50" t="s">
        <v>4</v>
      </c>
      <c r="F3" s="52" t="s">
        <v>5</v>
      </c>
      <c r="G3" s="53"/>
      <c r="H3" s="50" t="s">
        <v>6</v>
      </c>
      <c r="I3" s="54" t="s">
        <v>7</v>
      </c>
      <c r="O3" s="47"/>
    </row>
    <row r="4" s="44" customFormat="1" spans="2:16">
      <c r="B4" s="55" t="s">
        <v>8</v>
      </c>
      <c r="C4" s="56">
        <f>C13*0.7</f>
        <v>35</v>
      </c>
      <c r="D4" s="56">
        <f>2*(C4/C8)^(1/2)</f>
        <v>8.36660026534076</v>
      </c>
      <c r="E4" s="56">
        <f>(C4-2.67)/C7+2*C7/C8</f>
        <v>13.7766666666667</v>
      </c>
      <c r="F4" s="56">
        <f>IF(C4&lt;2.67,D4,E4)</f>
        <v>13.7766666666667</v>
      </c>
      <c r="G4" s="56"/>
      <c r="H4" s="55" t="s">
        <v>9</v>
      </c>
      <c r="I4" s="57">
        <v>1</v>
      </c>
      <c r="O4" s="47"/>
    </row>
    <row r="5" s="44" customFormat="1" spans="2:16">
      <c r="B5" s="55" t="s">
        <v>10</v>
      </c>
      <c r="C5" s="58"/>
      <c r="D5" s="56"/>
      <c r="E5" s="56"/>
      <c r="F5" s="56">
        <v>3.2</v>
      </c>
      <c r="G5" s="56"/>
      <c r="H5" s="59" t="s">
        <v>11</v>
      </c>
      <c r="I5" s="60">
        <f>1.4/C11+1.4/C12+3.9</f>
        <v>6</v>
      </c>
      <c r="O5" s="47"/>
    </row>
    <row r="6" s="44" customFormat="1" spans="2:16">
      <c r="B6" s="59" t="s">
        <v>12</v>
      </c>
      <c r="C6" s="61" t="s">
        <v>13</v>
      </c>
      <c r="D6" s="62"/>
      <c r="E6" s="62"/>
      <c r="F6" s="63"/>
      <c r="G6" s="63"/>
      <c r="H6" s="55" t="s">
        <v>14</v>
      </c>
      <c r="I6" s="57">
        <v>0.2</v>
      </c>
      <c r="O6" s="47"/>
    </row>
    <row r="7" s="44" customFormat="1" spans="2:16">
      <c r="B7" s="59" t="s">
        <v>15</v>
      </c>
      <c r="C7" s="61">
        <v>3</v>
      </c>
      <c r="D7" s="61"/>
      <c r="E7" s="62"/>
      <c r="F7" s="63"/>
      <c r="G7" s="63"/>
      <c r="H7" s="59" t="s">
        <v>16</v>
      </c>
      <c r="I7" s="60">
        <f>F4+F5</f>
        <v>16.9766666666667</v>
      </c>
      <c r="O7" s="47"/>
    </row>
    <row r="8" s="44" customFormat="1" spans="2:16">
      <c r="B8" s="59" t="s">
        <v>17</v>
      </c>
      <c r="C8" s="61">
        <v>2</v>
      </c>
      <c r="D8" s="61"/>
      <c r="E8" s="61"/>
      <c r="F8" s="63"/>
      <c r="G8" s="63"/>
      <c r="H8" s="55" t="s">
        <v>14</v>
      </c>
      <c r="I8" s="57">
        <v>0.2</v>
      </c>
      <c r="O8" s="47"/>
    </row>
    <row r="9" s="44" customFormat="1" spans="2:16">
      <c r="B9" s="59" t="s">
        <v>18</v>
      </c>
      <c r="C9" s="61">
        <f>(C7/C8)^2*C8/2</f>
        <v>2.25</v>
      </c>
      <c r="D9" s="61"/>
      <c r="E9" s="62"/>
      <c r="F9" s="63"/>
      <c r="G9" s="63"/>
      <c r="H9" s="59" t="s">
        <v>19</v>
      </c>
      <c r="I9" s="60">
        <f>I5</f>
        <v>6</v>
      </c>
      <c r="O9" s="47"/>
    </row>
    <row r="10" s="44" customFormat="1" spans="2:16">
      <c r="B10" s="59" t="s">
        <v>20</v>
      </c>
      <c r="C10" s="61">
        <v>50</v>
      </c>
      <c r="D10" s="61"/>
      <c r="E10" s="62"/>
      <c r="F10" s="63" t="s">
        <v>21</v>
      </c>
      <c r="G10" s="63"/>
      <c r="H10" s="55" t="s">
        <v>14</v>
      </c>
      <c r="I10" s="57">
        <v>0.2</v>
      </c>
      <c r="O10" s="47"/>
    </row>
    <row r="11" s="44" customFormat="1" spans="2:16">
      <c r="B11" s="59" t="s">
        <v>22</v>
      </c>
      <c r="C11" s="61">
        <v>2</v>
      </c>
      <c r="D11" s="61"/>
      <c r="E11" s="62"/>
      <c r="F11" s="63">
        <v>0</v>
      </c>
      <c r="G11" s="63"/>
      <c r="H11" s="59" t="s">
        <v>23</v>
      </c>
      <c r="I11" s="60">
        <f>I7</f>
        <v>16.9766666666667</v>
      </c>
      <c r="O11" s="47"/>
    </row>
    <row r="12" s="44" customFormat="1" spans="2:16">
      <c r="B12" s="59" t="s">
        <v>24</v>
      </c>
      <c r="C12" s="61">
        <v>1</v>
      </c>
      <c r="D12" s="61"/>
      <c r="E12" s="62"/>
      <c r="F12" s="63"/>
      <c r="G12" s="63"/>
      <c r="H12" s="59" t="s">
        <v>25</v>
      </c>
      <c r="I12" s="57">
        <v>1</v>
      </c>
      <c r="O12" s="47"/>
    </row>
    <row r="13" s="44" customFormat="1" spans="2:16">
      <c r="B13" s="59" t="s">
        <v>26</v>
      </c>
      <c r="C13" s="64">
        <v>50</v>
      </c>
      <c r="D13" s="61"/>
      <c r="E13" s="61"/>
      <c r="F13" s="63"/>
      <c r="G13" s="63"/>
      <c r="H13" s="65" t="s">
        <v>27</v>
      </c>
      <c r="I13" s="66">
        <f>(SUM(I4:I11)+F11)/I12</f>
        <v>47.5533333333333</v>
      </c>
      <c r="J13" s="67"/>
      <c r="K13" s="44"/>
      <c r="L13" s="44"/>
      <c r="M13" s="44"/>
      <c r="N13" s="44"/>
      <c r="O13" s="47"/>
    </row>
    <row r="14" s="44" customFormat="1" spans="2:16">
      <c r="B14" s="68" t="s">
        <v>28</v>
      </c>
      <c r="C14" s="69">
        <v>1</v>
      </c>
      <c r="D14" s="61"/>
      <c r="E14" s="61"/>
      <c r="F14" s="63"/>
      <c r="G14" s="63"/>
      <c r="H14" s="65" t="s">
        <v>29</v>
      </c>
      <c r="I14" s="70">
        <f>3600/I13</f>
        <v>75.7044721715968</v>
      </c>
      <c r="O14" s="47"/>
    </row>
    <row r="15" s="45" customFormat="1" spans="2:16">
      <c r="B15" s="71" t="s">
        <v>30</v>
      </c>
      <c r="C15" s="72">
        <v>600</v>
      </c>
      <c r="D15" s="73" t="s">
        <v>31</v>
      </c>
      <c r="E15" s="62"/>
      <c r="F15" s="74"/>
      <c r="G15" s="75"/>
      <c r="H15" s="76"/>
      <c r="I15" s="76"/>
      <c r="K15" s="77"/>
      <c r="L15" s="77"/>
      <c r="M15" s="77"/>
      <c r="N15" s="77"/>
      <c r="O15" s="77"/>
      <c r="P15" s="77"/>
    </row>
    <row r="16" s="44" customFormat="1" spans="2:16">
      <c r="B16" s="68" t="s">
        <v>32</v>
      </c>
      <c r="C16" s="72">
        <v>600</v>
      </c>
      <c r="D16" s="73" t="s">
        <v>31</v>
      </c>
      <c r="E16" s="73"/>
      <c r="F16" s="78" t="s">
        <v>33</v>
      </c>
      <c r="G16" s="78"/>
      <c r="H16" s="78"/>
      <c r="I16" s="54" t="s">
        <v>7</v>
      </c>
      <c r="K16" s="77"/>
      <c r="L16" s="77"/>
      <c r="M16" s="77"/>
      <c r="N16" s="77"/>
      <c r="O16" s="77"/>
      <c r="P16" s="77"/>
    </row>
    <row r="17" s="44" customFormat="1" spans="2:16">
      <c r="B17" s="79" t="s">
        <v>34</v>
      </c>
      <c r="C17" s="80">
        <v>1</v>
      </c>
      <c r="D17" s="73" t="s">
        <v>35</v>
      </c>
      <c r="E17" s="71"/>
      <c r="F17" s="79" t="s">
        <v>36</v>
      </c>
      <c r="G17" s="79"/>
      <c r="H17" s="79"/>
      <c r="I17" s="81">
        <f>I13</f>
        <v>47.5533333333333</v>
      </c>
      <c r="K17" s="77"/>
      <c r="L17" s="77"/>
      <c r="M17" s="77"/>
      <c r="N17" s="77"/>
      <c r="O17" s="77"/>
      <c r="P17" s="77"/>
    </row>
    <row r="18" s="44" customFormat="1" spans="2:16">
      <c r="B18" s="79" t="s">
        <v>37</v>
      </c>
      <c r="C18" s="82">
        <v>32</v>
      </c>
      <c r="D18" s="79" t="s">
        <v>38</v>
      </c>
      <c r="E18" s="71"/>
      <c r="F18" s="73" t="s">
        <v>39</v>
      </c>
      <c r="G18" s="73"/>
      <c r="H18" s="73"/>
      <c r="I18" s="73">
        <v>22</v>
      </c>
      <c r="K18" s="77"/>
      <c r="L18" s="77"/>
      <c r="M18" s="77"/>
      <c r="N18" s="77"/>
      <c r="O18" s="77"/>
      <c r="P18" s="77"/>
    </row>
    <row r="19" s="44" customFormat="1" spans="2:16">
      <c r="B19" s="79" t="s">
        <v>40</v>
      </c>
      <c r="C19" s="83">
        <f>C15+C16</f>
        <v>1200</v>
      </c>
      <c r="D19" s="79" t="s">
        <v>31</v>
      </c>
      <c r="E19" s="73"/>
      <c r="F19" s="73" t="s">
        <v>41</v>
      </c>
      <c r="G19" s="73"/>
      <c r="H19" s="73"/>
      <c r="I19" s="84">
        <v>25</v>
      </c>
      <c r="K19" s="77"/>
      <c r="L19" s="77"/>
      <c r="M19" s="77"/>
      <c r="N19" s="77"/>
      <c r="O19" s="77"/>
      <c r="P19" s="77"/>
    </row>
    <row r="20" s="44" customFormat="1" spans="2:16">
      <c r="B20" s="85" t="s">
        <v>42</v>
      </c>
      <c r="C20" s="54" t="s">
        <v>43</v>
      </c>
      <c r="D20" s="85" t="s">
        <v>44</v>
      </c>
      <c r="E20" s="85" t="s">
        <v>42</v>
      </c>
      <c r="F20" s="85" t="s">
        <v>45</v>
      </c>
      <c r="G20" s="85" t="s">
        <v>46</v>
      </c>
      <c r="H20" s="85" t="s">
        <v>47</v>
      </c>
      <c r="I20" s="54" t="s">
        <v>7</v>
      </c>
      <c r="K20" s="77"/>
      <c r="L20" s="77"/>
      <c r="M20" s="77"/>
      <c r="N20" s="77"/>
      <c r="O20" s="77"/>
      <c r="P20" s="77"/>
    </row>
    <row r="21" s="44" customFormat="1" spans="2:16">
      <c r="B21" s="86" t="s">
        <v>48</v>
      </c>
      <c r="C21" s="87">
        <f>C15/(C15+C16)</f>
        <v>0.5</v>
      </c>
      <c r="D21" s="88">
        <f>IF((C17-C18)/C17&gt;0,(C17-C18)/C17,0)</f>
        <v>0</v>
      </c>
      <c r="E21" s="89" t="s">
        <v>49</v>
      </c>
      <c r="F21" s="88">
        <v>0</v>
      </c>
      <c r="G21" s="88">
        <f>C21*D21</f>
        <v>0</v>
      </c>
      <c r="H21" s="88">
        <f>I17+I19</f>
        <v>72.5533333333333</v>
      </c>
      <c r="I21" s="88">
        <f>G21*H21</f>
        <v>0</v>
      </c>
      <c r="K21" s="77"/>
      <c r="L21" s="77"/>
      <c r="M21" s="77"/>
      <c r="N21" s="77"/>
      <c r="O21" s="77"/>
      <c r="P21" s="77"/>
    </row>
    <row r="22" s="44" customFormat="1" spans="2:16">
      <c r="B22" s="90"/>
      <c r="C22" s="91"/>
      <c r="D22" s="92">
        <f>IF(C18/C17&gt;1,1,C18/C17)</f>
        <v>1</v>
      </c>
      <c r="E22" s="89" t="s">
        <v>50</v>
      </c>
      <c r="F22" s="92">
        <v>0</v>
      </c>
      <c r="G22" s="92">
        <f>C21*D22</f>
        <v>0.5</v>
      </c>
      <c r="H22" s="92">
        <f>I17</f>
        <v>47.5533333333333</v>
      </c>
      <c r="I22" s="92">
        <f t="shared" ref="I22:I26" si="0">H22*G22</f>
        <v>23.7766666666667</v>
      </c>
      <c r="K22" s="77"/>
      <c r="L22" s="77"/>
      <c r="M22" s="77"/>
      <c r="N22" s="77"/>
      <c r="O22" s="77"/>
      <c r="P22" s="77"/>
    </row>
    <row r="23" s="44" customFormat="1" spans="2:16">
      <c r="B23" s="89" t="s">
        <v>51</v>
      </c>
      <c r="C23" s="92">
        <f>C16/(C15+C16)</f>
        <v>0.5</v>
      </c>
      <c r="D23" s="92">
        <f>IF((C17-C18)/C17&gt;0,(C17-C18)/C17,0)</f>
        <v>0</v>
      </c>
      <c r="E23" s="89" t="s">
        <v>52</v>
      </c>
      <c r="F23" s="92">
        <v>0.5</v>
      </c>
      <c r="G23" s="92">
        <f>C23*D23*F23</f>
        <v>0</v>
      </c>
      <c r="H23" s="92">
        <f>I17+I18+I19</f>
        <v>94.5533333333333</v>
      </c>
      <c r="I23" s="92">
        <f t="shared" si="0"/>
        <v>0</v>
      </c>
      <c r="K23" s="77"/>
      <c r="L23" s="77"/>
      <c r="M23" s="77"/>
      <c r="N23" s="77"/>
      <c r="O23" s="77"/>
      <c r="P23" s="77"/>
    </row>
    <row r="24" s="44" customFormat="1" spans="2:16">
      <c r="B24" s="89"/>
      <c r="C24" s="92"/>
      <c r="D24" s="92"/>
      <c r="E24" s="89" t="s">
        <v>53</v>
      </c>
      <c r="F24" s="92">
        <v>0.5</v>
      </c>
      <c r="G24" s="92">
        <f>C23*D23*F24</f>
        <v>0</v>
      </c>
      <c r="H24" s="92">
        <f>I17+I19</f>
        <v>72.5533333333333</v>
      </c>
      <c r="I24" s="92">
        <f t="shared" si="0"/>
        <v>0</v>
      </c>
      <c r="K24" s="77"/>
      <c r="L24" s="77"/>
      <c r="M24" s="77"/>
      <c r="N24" s="77"/>
      <c r="O24" s="77"/>
      <c r="P24" s="77"/>
    </row>
    <row r="25" s="44" customFormat="1" spans="2:16">
      <c r="B25" s="89"/>
      <c r="C25" s="92"/>
      <c r="D25" s="92">
        <f>IF(C18/C17&gt;1,1,C18/C17)</f>
        <v>1</v>
      </c>
      <c r="E25" s="89" t="s">
        <v>54</v>
      </c>
      <c r="F25" s="92">
        <v>0.5</v>
      </c>
      <c r="G25" s="92">
        <f>C23*D25*F25</f>
        <v>0.25</v>
      </c>
      <c r="H25" s="92">
        <f>I17+I18</f>
        <v>69.5533333333333</v>
      </c>
      <c r="I25" s="92">
        <f t="shared" si="0"/>
        <v>17.3883333333333</v>
      </c>
      <c r="K25" s="77"/>
      <c r="L25" s="77"/>
      <c r="M25" s="77"/>
      <c r="N25" s="77"/>
      <c r="O25" s="77"/>
      <c r="P25" s="77"/>
    </row>
    <row r="26" s="44" customFormat="1" spans="2:16">
      <c r="B26" s="89"/>
      <c r="C26" s="92"/>
      <c r="D26" s="92"/>
      <c r="E26" s="89" t="s">
        <v>55</v>
      </c>
      <c r="F26" s="92">
        <v>0.5</v>
      </c>
      <c r="G26" s="92">
        <f>C23*D25*F26</f>
        <v>0.25</v>
      </c>
      <c r="H26" s="92">
        <f>I17</f>
        <v>47.5533333333333</v>
      </c>
      <c r="I26" s="92">
        <f t="shared" si="0"/>
        <v>11.8883333333333</v>
      </c>
      <c r="K26" s="77"/>
      <c r="L26" s="77"/>
      <c r="M26" s="77"/>
      <c r="N26" s="77"/>
      <c r="O26" s="77"/>
      <c r="P26" s="77"/>
    </row>
    <row r="27" s="44" customFormat="1" spans="2:16">
      <c r="B27" s="93" t="s">
        <v>56</v>
      </c>
      <c r="C27" s="94"/>
      <c r="D27" s="94"/>
      <c r="E27" s="94"/>
      <c r="F27" s="94"/>
      <c r="G27" s="94"/>
      <c r="H27" s="95"/>
      <c r="I27" s="96">
        <f>SUM(I21:I26)</f>
        <v>53.0533333333333</v>
      </c>
      <c r="K27" s="77"/>
      <c r="L27" s="77"/>
      <c r="M27" s="77"/>
      <c r="N27" s="77"/>
      <c r="O27" s="77"/>
      <c r="P27" s="77"/>
    </row>
    <row r="28" s="44" customFormat="1" spans="2:16">
      <c r="B28" s="97" t="s">
        <v>57</v>
      </c>
      <c r="C28" s="98"/>
      <c r="D28" s="98"/>
      <c r="E28" s="98"/>
      <c r="F28" s="98"/>
      <c r="G28" s="98"/>
      <c r="H28" s="99"/>
      <c r="I28" s="81">
        <f>3600/I27</f>
        <v>67.8562452877608</v>
      </c>
      <c r="K28" s="77"/>
      <c r="L28" s="77"/>
      <c r="M28" s="77"/>
      <c r="N28" s="77"/>
      <c r="O28" s="77"/>
      <c r="P28" s="77"/>
    </row>
    <row r="29" s="44" customFormat="1" spans="2:16">
      <c r="B29" s="100" t="s">
        <v>58</v>
      </c>
      <c r="C29" s="72">
        <v>0</v>
      </c>
      <c r="D29" s="100" t="s">
        <v>59</v>
      </c>
      <c r="E29" s="54">
        <v>20</v>
      </c>
      <c r="F29" s="101"/>
      <c r="G29" s="102"/>
      <c r="H29" s="103" t="s">
        <v>60</v>
      </c>
      <c r="I29" s="104">
        <f>(I28*(1-C29)+C29*3600*2/(I27+E29))</f>
        <v>67.8562452877608</v>
      </c>
      <c r="K29" s="77"/>
      <c r="L29" s="77"/>
      <c r="M29" s="77"/>
      <c r="N29" s="77"/>
      <c r="O29" s="77"/>
      <c r="P29" s="77"/>
    </row>
    <row r="30" s="44" customFormat="1" spans="2:16">
      <c r="B30" s="105" t="s">
        <v>61</v>
      </c>
      <c r="C30" s="105"/>
      <c r="D30" s="105"/>
      <c r="E30" s="105"/>
      <c r="F30" s="105"/>
      <c r="G30" s="105"/>
      <c r="H30" s="105"/>
      <c r="I30" s="106">
        <f>C19/I31</f>
        <v>1200</v>
      </c>
      <c r="O30" s="47"/>
    </row>
    <row r="31" s="44" customFormat="1" spans="2:16">
      <c r="B31" s="105" t="s">
        <v>62</v>
      </c>
      <c r="C31" s="105"/>
      <c r="D31" s="105"/>
      <c r="E31" s="105"/>
      <c r="F31" s="105"/>
      <c r="G31" s="105"/>
      <c r="H31" s="105"/>
      <c r="I31" s="107">
        <v>1</v>
      </c>
      <c r="J31" s="44" t="s">
        <v>63</v>
      </c>
      <c r="O31" s="47"/>
    </row>
    <row r="32" s="44" customFormat="1" ht="16.5" spans="2:16">
      <c r="B32" s="108" t="s">
        <v>64</v>
      </c>
      <c r="C32" s="108"/>
      <c r="D32" s="108"/>
      <c r="E32" s="108"/>
      <c r="F32" s="108"/>
      <c r="G32" s="108"/>
      <c r="H32" s="108"/>
      <c r="I32" s="109">
        <f>I30/I29</f>
        <v>17.6844444444444</v>
      </c>
      <c r="O32" s="47"/>
    </row>
    <row r="33" s="44" customFormat="1" ht="16.5" spans="2:15">
      <c r="B33" s="110" t="s">
        <v>65</v>
      </c>
      <c r="C33" s="111"/>
      <c r="D33" s="111"/>
      <c r="E33" s="111"/>
      <c r="F33" s="111"/>
      <c r="G33" s="111"/>
      <c r="H33" s="111"/>
      <c r="I33" s="112"/>
      <c r="O33" s="47"/>
    </row>
    <row r="34" s="44" customFormat="1" ht="19" customHeight="1" spans="2:15">
      <c r="B34" s="113"/>
      <c r="C34" s="114"/>
      <c r="D34" s="113"/>
      <c r="E34" s="113"/>
      <c r="F34" s="113"/>
      <c r="G34" s="113"/>
      <c r="H34" s="113"/>
      <c r="I34" s="113"/>
      <c r="O34" s="47"/>
    </row>
    <row r="35" s="44" customFormat="1" spans="2:15">
      <c r="B35" s="115" t="s">
        <v>66</v>
      </c>
      <c r="C35" s="46"/>
      <c r="D35" s="115"/>
      <c r="E35" s="115"/>
      <c r="F35" s="115"/>
      <c r="G35" s="115"/>
      <c r="H35" s="115"/>
      <c r="I35" s="115"/>
      <c r="O35" s="47"/>
    </row>
    <row r="36" s="44" customFormat="1" ht="60" customHeight="1" spans="2:15">
      <c r="B36" s="116" t="s">
        <v>67</v>
      </c>
      <c r="C36" s="117"/>
      <c r="D36" s="116"/>
      <c r="E36" s="116"/>
      <c r="F36" s="116"/>
      <c r="G36" s="116"/>
      <c r="H36" s="116"/>
      <c r="I36" s="116"/>
      <c r="O36" s="47"/>
    </row>
    <row r="37" s="44" customFormat="1" ht="18" customHeight="1" spans="2:15">
      <c r="B37" s="116" t="s">
        <v>68</v>
      </c>
      <c r="C37" s="117"/>
      <c r="D37" s="116"/>
      <c r="E37" s="116"/>
      <c r="F37" s="116"/>
      <c r="G37" s="116"/>
      <c r="H37" s="116"/>
      <c r="I37" s="116"/>
      <c r="O37" s="47"/>
    </row>
    <row r="38" s="44" customFormat="1" ht="28" customHeight="1" spans="2:15">
      <c r="B38" s="118" t="s">
        <v>69</v>
      </c>
      <c r="C38" s="119">
        <f>C19*(G21+G23+G24)</f>
        <v>0</v>
      </c>
      <c r="D38" s="73" t="s">
        <v>70</v>
      </c>
      <c r="E38" s="119" t="s">
        <v>71</v>
      </c>
      <c r="F38" s="120" t="str">
        <f>IF(C38&lt;换层提升机!I15,"满足","不满足")</f>
        <v>满足</v>
      </c>
      <c r="O38" s="47"/>
    </row>
    <row r="39" s="44" customFormat="1" spans="2:15">
      <c r="B39" s="119" t="s">
        <v>72</v>
      </c>
      <c r="C39" s="72">
        <f>换层提升机!I15</f>
        <v>121.643109540636</v>
      </c>
      <c r="D39" s="73" t="s">
        <v>70</v>
      </c>
      <c r="E39" s="119" t="s">
        <v>73</v>
      </c>
      <c r="F39" s="121">
        <f>C38/C39</f>
        <v>0</v>
      </c>
      <c r="O39" s="47"/>
    </row>
    <row r="40" s="44" customFormat="1" spans="2:15">
      <c r="B40" s="119" t="s">
        <v>74</v>
      </c>
      <c r="C40" s="119">
        <f>C38/C18</f>
        <v>0</v>
      </c>
      <c r="D40" s="73" t="s">
        <v>75</v>
      </c>
      <c r="E40" s="122"/>
      <c r="F40" s="122"/>
      <c r="O40" s="47"/>
    </row>
    <row r="44" s="44" customFormat="1" ht="16.5" spans="2:15">
      <c r="B44" s="123"/>
      <c r="C44" s="46"/>
      <c r="O44" s="47"/>
    </row>
    <row r="45" s="44" customFormat="1" ht="16.5" spans="2:15">
      <c r="B45" s="123"/>
      <c r="C45" s="46"/>
      <c r="O45" s="47"/>
    </row>
  </sheetData>
  <mergeCells count="28">
    <mergeCell ref="B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27:H27"/>
    <mergeCell ref="B28:H28"/>
    <mergeCell ref="B30:H30"/>
    <mergeCell ref="B31:H31"/>
    <mergeCell ref="B32:H32"/>
    <mergeCell ref="B35:I35"/>
    <mergeCell ref="B36:I36"/>
    <mergeCell ref="B37:I37"/>
    <mergeCell ref="B21:B22"/>
    <mergeCell ref="B23:B26"/>
    <mergeCell ref="C21:C22"/>
    <mergeCell ref="C23:C26"/>
    <mergeCell ref="D23:D24"/>
    <mergeCell ref="D25:D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6"/>
  <sheetViews>
    <sheetView showGridLines="0" zoomScale="120" zoomScaleNormal="120" workbookViewId="0">
      <selection activeCell="C13" sqref="C13"/>
    </sheetView>
  </sheetViews>
  <sheetFormatPr defaultColWidth="8.89166666666667" defaultRowHeight="13.5"/>
  <cols>
    <col min="1" max="1" width="8.89166666666667" style="23"/>
    <col min="2" max="2" width="33.7833333333333" style="23" customWidth="1"/>
    <col min="3" max="3" width="9.63333333333333" style="24" customWidth="1"/>
    <col min="4" max="4" width="9.55833333333333" style="23" customWidth="1"/>
    <col min="5" max="5" width="11.2166666666667" style="23" customWidth="1"/>
    <col min="6" max="6" width="8.89166666666667" style="23"/>
    <col min="7" max="7" width="6.66666666666667" style="23" customWidth="1"/>
    <col min="8" max="8" width="18" style="23" customWidth="1"/>
    <col min="9" max="9" width="8.89166666666667" style="23"/>
    <col min="10" max="10" width="12.6333333333333" style="23"/>
    <col min="11" max="16384" width="8.89166666666667" style="23"/>
  </cols>
  <sheetData>
    <row r="1" spans="2:10">
      <c r="C1" s="25"/>
      <c r="D1" s="26" t="s">
        <v>76</v>
      </c>
    </row>
    <row r="3" ht="22.5" spans="2:10">
      <c r="B3" s="27" t="s">
        <v>77</v>
      </c>
      <c r="C3" s="27"/>
      <c r="D3" s="27"/>
      <c r="E3" s="27"/>
      <c r="F3" s="27"/>
      <c r="G3" s="27"/>
      <c r="H3" s="27"/>
      <c r="I3" s="27"/>
      <c r="J3" s="28"/>
    </row>
    <row r="4" ht="16.5" spans="2:10">
      <c r="B4" s="29" t="s">
        <v>78</v>
      </c>
      <c r="C4" s="30" t="s">
        <v>2</v>
      </c>
      <c r="D4" s="30" t="s">
        <v>79</v>
      </c>
      <c r="E4" s="30" t="s">
        <v>80</v>
      </c>
      <c r="F4" s="30" t="s">
        <v>5</v>
      </c>
      <c r="G4" s="31"/>
      <c r="H4" s="29" t="s">
        <v>81</v>
      </c>
      <c r="I4" s="29" t="s">
        <v>82</v>
      </c>
      <c r="J4" s="28"/>
    </row>
    <row r="5" ht="16.5" spans="2:10">
      <c r="B5" s="29" t="s">
        <v>83</v>
      </c>
      <c r="C5" s="32">
        <f>C11</f>
        <v>5.33333333333333</v>
      </c>
      <c r="D5" s="32">
        <f>2*(C5/C9)^(1/2)</f>
        <v>2.66666666666667</v>
      </c>
      <c r="E5" s="32">
        <f>(C5-1.5)/C8+2*C8/C9</f>
        <v>3.27777777777778</v>
      </c>
      <c r="F5" s="32">
        <f>IF(C5&lt;1.5,D5,E5)</f>
        <v>3.27777777777778</v>
      </c>
      <c r="G5" s="33"/>
      <c r="H5" s="29" t="s">
        <v>9</v>
      </c>
      <c r="I5" s="34">
        <v>1</v>
      </c>
      <c r="J5" s="28"/>
    </row>
    <row r="6" ht="16.5" spans="2:10">
      <c r="B6" s="29"/>
      <c r="C6" s="30"/>
      <c r="D6" s="30"/>
      <c r="E6" s="30"/>
      <c r="F6" s="30"/>
      <c r="G6" s="33"/>
      <c r="H6" s="35" t="s">
        <v>84</v>
      </c>
      <c r="I6" s="36">
        <v>8.5</v>
      </c>
      <c r="J6" s="28"/>
    </row>
    <row r="7" ht="16.5" spans="2:10">
      <c r="B7" s="35" t="s">
        <v>12</v>
      </c>
      <c r="C7" s="35" t="s">
        <v>85</v>
      </c>
      <c r="D7" s="30"/>
      <c r="E7" s="30"/>
      <c r="F7" s="30"/>
      <c r="G7" s="33"/>
      <c r="H7" s="29" t="s">
        <v>14</v>
      </c>
      <c r="I7" s="34">
        <v>0.2</v>
      </c>
      <c r="J7" s="28"/>
    </row>
    <row r="8" ht="16.5" spans="2:10">
      <c r="B8" s="35" t="s">
        <v>86</v>
      </c>
      <c r="C8" s="35">
        <v>3</v>
      </c>
      <c r="D8" s="35"/>
      <c r="E8" s="30"/>
      <c r="F8" s="30"/>
      <c r="G8" s="33"/>
      <c r="H8" s="35" t="s">
        <v>87</v>
      </c>
      <c r="I8" s="36">
        <f>F5</f>
        <v>3.27777777777778</v>
      </c>
      <c r="J8" s="28"/>
    </row>
    <row r="9" ht="16.5" spans="2:10">
      <c r="B9" s="35" t="s">
        <v>88</v>
      </c>
      <c r="C9" s="35">
        <v>3</v>
      </c>
      <c r="D9" s="35"/>
      <c r="E9" s="37"/>
      <c r="F9" s="37"/>
      <c r="G9" s="33"/>
      <c r="H9" s="29" t="s">
        <v>14</v>
      </c>
      <c r="I9" s="34">
        <v>0.2</v>
      </c>
      <c r="J9" s="28"/>
    </row>
    <row r="10" ht="16.5" spans="2:10">
      <c r="B10" s="35" t="s">
        <v>18</v>
      </c>
      <c r="C10" s="35">
        <f>(C8/C9)^2*C9/2</f>
        <v>1.5</v>
      </c>
      <c r="D10" s="38"/>
      <c r="E10" s="30"/>
      <c r="F10" s="30"/>
      <c r="G10" s="33"/>
      <c r="H10" s="35" t="s">
        <v>89</v>
      </c>
      <c r="I10" s="36">
        <f>I6</f>
        <v>8.5</v>
      </c>
      <c r="J10" s="28"/>
    </row>
    <row r="11" ht="16.5" spans="2:10">
      <c r="B11" s="35" t="s">
        <v>20</v>
      </c>
      <c r="C11" s="35">
        <f>C13*2/3</f>
        <v>5.33333333333333</v>
      </c>
      <c r="D11" s="38"/>
      <c r="E11" s="30"/>
      <c r="F11" s="30"/>
      <c r="G11" s="33"/>
      <c r="H11" s="29" t="s">
        <v>14</v>
      </c>
      <c r="I11" s="34">
        <v>0.2</v>
      </c>
      <c r="J11" s="28"/>
    </row>
    <row r="12" ht="16.5" spans="2:10">
      <c r="B12" s="35" t="s">
        <v>90</v>
      </c>
      <c r="C12" s="37">
        <v>1</v>
      </c>
      <c r="D12" s="38"/>
      <c r="E12" s="30"/>
      <c r="F12" s="30"/>
      <c r="G12" s="33"/>
      <c r="H12" s="35" t="s">
        <v>91</v>
      </c>
      <c r="I12" s="36">
        <f>F5</f>
        <v>3.27777777777778</v>
      </c>
      <c r="J12" s="28"/>
    </row>
    <row r="13" ht="16.5" spans="2:10">
      <c r="B13" s="35" t="s">
        <v>92</v>
      </c>
      <c r="C13" s="14">
        <v>8</v>
      </c>
      <c r="D13" s="35"/>
      <c r="E13" s="30"/>
      <c r="F13" s="30"/>
      <c r="G13" s="33"/>
      <c r="H13" s="35" t="s">
        <v>25</v>
      </c>
      <c r="I13" s="39">
        <v>0.85</v>
      </c>
      <c r="J13" s="28"/>
    </row>
    <row r="14" ht="16.5" spans="2:10">
      <c r="B14" s="35"/>
      <c r="C14" s="35"/>
      <c r="D14" s="35"/>
      <c r="E14" s="35"/>
      <c r="F14" s="35"/>
      <c r="G14" s="33"/>
      <c r="H14" s="35" t="s">
        <v>27</v>
      </c>
      <c r="I14" s="40">
        <f>SUM(I5:I12)/I13</f>
        <v>29.5947712418301</v>
      </c>
      <c r="J14" s="28"/>
    </row>
    <row r="15" ht="16.5" spans="2:10">
      <c r="B15" s="35"/>
      <c r="C15" s="35"/>
      <c r="D15" s="35"/>
      <c r="E15" s="35"/>
      <c r="F15" s="35"/>
      <c r="G15" s="41"/>
      <c r="H15" s="35" t="s">
        <v>29</v>
      </c>
      <c r="I15" s="36">
        <f>3600/I14</f>
        <v>121.643109540636</v>
      </c>
      <c r="J15" s="28"/>
    </row>
    <row r="16" ht="16.5" spans="2:10">
      <c r="B16" s="18" t="s">
        <v>65</v>
      </c>
      <c r="C16" s="42"/>
      <c r="D16" s="42"/>
      <c r="E16" s="42"/>
      <c r="F16" s="42"/>
      <c r="G16" s="42"/>
      <c r="H16" s="42"/>
      <c r="I16" s="43"/>
      <c r="J16" s="28"/>
    </row>
  </sheetData>
  <mergeCells count="2">
    <mergeCell ref="B3:I3"/>
    <mergeCell ref="G4:G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J21"/>
  <sheetViews>
    <sheetView workbookViewId="0">
      <selection activeCell="E25" sqref="E25"/>
    </sheetView>
  </sheetViews>
  <sheetFormatPr defaultColWidth="8.89166666666667" defaultRowHeight="16.5"/>
  <cols>
    <col min="1" max="1" width="8.89166666666667" style="1"/>
    <col min="2" max="2" width="33.8" style="1" customWidth="1"/>
    <col min="3" max="3" width="9.63333333333333" style="1" customWidth="1"/>
    <col min="4" max="4" width="9.55833333333333" style="1" customWidth="1"/>
    <col min="5" max="5" width="11.2" style="1" customWidth="1"/>
    <col min="6" max="6" width="15.2833333333333" style="1"/>
    <col min="7" max="7" width="6.66666666666667" style="1" customWidth="1"/>
    <col min="8" max="8" width="18" style="1" customWidth="1"/>
    <col min="9" max="9" width="11.8" style="1"/>
    <col min="10" max="10" width="12.6333333333333" style="1"/>
    <col min="11" max="16384" width="8.89166666666667" style="1"/>
  </cols>
  <sheetData>
    <row r="3" ht="22.5" spans="2:10">
      <c r="B3" s="2" t="s">
        <v>93</v>
      </c>
      <c r="C3" s="3"/>
      <c r="D3" s="3"/>
      <c r="E3" s="3"/>
      <c r="F3" s="3"/>
      <c r="G3" s="3"/>
      <c r="H3" s="3"/>
      <c r="I3" s="3"/>
    </row>
    <row r="4" spans="2:10">
      <c r="B4" s="4" t="s">
        <v>94</v>
      </c>
      <c r="C4" s="5" t="s">
        <v>2</v>
      </c>
      <c r="D4" s="5" t="s">
        <v>95</v>
      </c>
      <c r="E4" s="5" t="s">
        <v>96</v>
      </c>
      <c r="F4" s="5" t="s">
        <v>5</v>
      </c>
      <c r="G4" s="6"/>
      <c r="H4" s="4" t="s">
        <v>81</v>
      </c>
      <c r="I4" s="4" t="s">
        <v>82</v>
      </c>
    </row>
    <row r="5" spans="2:10">
      <c r="B5" s="4" t="s">
        <v>83</v>
      </c>
      <c r="C5" s="5">
        <f>C11</f>
        <v>5.33333333333333</v>
      </c>
      <c r="D5" s="5">
        <f>2*(C5/C10)^(1/2)</f>
        <v>1.88561808316413</v>
      </c>
      <c r="E5" s="5">
        <f>(C5-2)/C9+2*C9/C10</f>
        <v>2.55555555555556</v>
      </c>
      <c r="F5" s="5">
        <f>IF(C5&lt;2,D5,E5)</f>
        <v>2.55555555555556</v>
      </c>
      <c r="G5" s="7"/>
      <c r="H5" s="4" t="s">
        <v>9</v>
      </c>
      <c r="I5" s="8">
        <v>1</v>
      </c>
    </row>
    <row r="6" spans="2:10">
      <c r="B6" s="4" t="s">
        <v>97</v>
      </c>
      <c r="C6" s="5">
        <v>1.4</v>
      </c>
      <c r="D6" s="5"/>
      <c r="E6" s="5"/>
      <c r="F6" s="5"/>
      <c r="G6" s="7"/>
      <c r="H6" s="9" t="s">
        <v>98</v>
      </c>
      <c r="I6" s="10">
        <f>F7</f>
        <v>2.62121212121212</v>
      </c>
    </row>
    <row r="7" spans="2:10">
      <c r="B7" s="4" t="s">
        <v>99</v>
      </c>
      <c r="C7" s="5">
        <v>0.66</v>
      </c>
      <c r="D7" s="5"/>
      <c r="E7" s="5"/>
      <c r="F7" s="5">
        <f>C6/C7+0.5</f>
        <v>2.62121212121212</v>
      </c>
      <c r="G7" s="7"/>
      <c r="H7" s="4" t="s">
        <v>14</v>
      </c>
      <c r="I7" s="8">
        <v>0.2</v>
      </c>
    </row>
    <row r="8" spans="2:10">
      <c r="B8" s="9" t="s">
        <v>100</v>
      </c>
      <c r="C8" s="9" t="s">
        <v>101</v>
      </c>
      <c r="D8" s="9"/>
      <c r="E8" s="5"/>
      <c r="F8" s="5"/>
      <c r="G8" s="7"/>
      <c r="H8" s="9" t="s">
        <v>87</v>
      </c>
      <c r="I8" s="10">
        <f>F5</f>
        <v>2.55555555555556</v>
      </c>
    </row>
    <row r="9" spans="2:10">
      <c r="B9" s="9" t="s">
        <v>86</v>
      </c>
      <c r="C9" s="9">
        <v>6</v>
      </c>
      <c r="D9" s="9"/>
      <c r="E9" s="11"/>
      <c r="F9" s="11"/>
      <c r="G9" s="7"/>
      <c r="H9" s="4" t="s">
        <v>14</v>
      </c>
      <c r="I9" s="8">
        <v>0.2</v>
      </c>
      <c r="J9" s="12"/>
    </row>
    <row r="10" spans="2:10">
      <c r="B10" s="9" t="s">
        <v>88</v>
      </c>
      <c r="C10" s="9">
        <v>6</v>
      </c>
      <c r="D10" s="9"/>
      <c r="E10" s="5"/>
      <c r="F10" s="5"/>
      <c r="G10" s="7"/>
      <c r="H10" s="9" t="s">
        <v>102</v>
      </c>
      <c r="I10" s="10">
        <f>F7</f>
        <v>2.62121212121212</v>
      </c>
    </row>
    <row r="11" spans="2:10">
      <c r="B11" s="9" t="s">
        <v>20</v>
      </c>
      <c r="C11" s="11">
        <f>C13*2/3</f>
        <v>5.33333333333333</v>
      </c>
      <c r="D11" s="9"/>
      <c r="E11" s="5"/>
      <c r="F11" s="5"/>
      <c r="G11" s="7"/>
      <c r="H11" s="4" t="s">
        <v>14</v>
      </c>
      <c r="I11" s="8">
        <v>0.2</v>
      </c>
      <c r="J11" s="13"/>
    </row>
    <row r="12" spans="2:10">
      <c r="B12" s="9" t="s">
        <v>103</v>
      </c>
      <c r="C12" s="11">
        <f>40/60</f>
        <v>0.666666666666667</v>
      </c>
      <c r="D12" s="9"/>
      <c r="E12" s="5"/>
      <c r="F12" s="5"/>
      <c r="G12" s="7"/>
      <c r="H12" s="9" t="s">
        <v>91</v>
      </c>
      <c r="I12" s="10">
        <f>F5</f>
        <v>2.55555555555556</v>
      </c>
    </row>
    <row r="13" spans="2:10">
      <c r="B13" s="9" t="s">
        <v>92</v>
      </c>
      <c r="C13" s="14">
        <v>8</v>
      </c>
      <c r="D13" s="9"/>
      <c r="E13" s="5"/>
      <c r="F13" s="5"/>
      <c r="G13" s="7"/>
      <c r="H13" s="9" t="s">
        <v>27</v>
      </c>
      <c r="I13" s="8">
        <f>SUM(I5:I12)</f>
        <v>11.9535353535354</v>
      </c>
    </row>
    <row r="14" spans="2:10">
      <c r="B14" s="9"/>
      <c r="C14" s="9"/>
      <c r="D14" s="9"/>
      <c r="E14" s="9"/>
      <c r="F14" s="9"/>
      <c r="G14" s="7"/>
      <c r="H14" s="9" t="s">
        <v>25</v>
      </c>
      <c r="I14" s="8">
        <v>0.8</v>
      </c>
    </row>
    <row r="15" spans="2:10">
      <c r="B15" s="9"/>
      <c r="C15" s="9"/>
      <c r="D15" s="9"/>
      <c r="E15" s="9"/>
      <c r="F15" s="9"/>
      <c r="G15" s="15"/>
      <c r="H15" s="16" t="s">
        <v>104</v>
      </c>
      <c r="I15" s="17">
        <f>I13/I14</f>
        <v>14.9419191919192</v>
      </c>
    </row>
    <row r="16" spans="2:10">
      <c r="B16" s="18" t="s">
        <v>65</v>
      </c>
      <c r="H16" s="9" t="s">
        <v>29</v>
      </c>
      <c r="I16" s="10">
        <f>3600/I15</f>
        <v>240.93290518844</v>
      </c>
    </row>
    <row r="17" spans="2:9">
      <c r="H17" s="11" t="s">
        <v>105</v>
      </c>
      <c r="I17" s="19">
        <v>1.5</v>
      </c>
    </row>
    <row r="18" spans="2:9">
      <c r="B18" s="16" t="s">
        <v>106</v>
      </c>
      <c r="C18" s="20">
        <f>穿梭车节拍计算!C19</f>
        <v>1200</v>
      </c>
      <c r="D18" s="1" t="s">
        <v>31</v>
      </c>
      <c r="F18" s="13"/>
      <c r="G18" s="13"/>
      <c r="H18" s="11" t="s">
        <v>107</v>
      </c>
      <c r="I18" s="11">
        <f>I16*I17</f>
        <v>361.39935778266</v>
      </c>
    </row>
    <row r="19" spans="2:9">
      <c r="B19" s="16" t="s">
        <v>108</v>
      </c>
      <c r="C19" s="20">
        <f>I20</f>
        <v>1445.59743113064</v>
      </c>
      <c r="D19" s="1" t="s">
        <v>31</v>
      </c>
      <c r="F19" s="13"/>
      <c r="G19" s="13"/>
      <c r="H19" s="11" t="s">
        <v>109</v>
      </c>
      <c r="I19" s="21">
        <f>IF(C18/I18&gt;INT(C18/I18),INT(C18/I18)+1,C18/I18)</f>
        <v>4</v>
      </c>
    </row>
    <row r="20" spans="2:9">
      <c r="B20" s="16" t="s">
        <v>110</v>
      </c>
      <c r="C20" s="22">
        <f>C18/C19</f>
        <v>0.830106621773289</v>
      </c>
      <c r="F20" s="13"/>
      <c r="G20" s="13"/>
      <c r="H20" s="11" t="s">
        <v>111</v>
      </c>
      <c r="I20" s="11">
        <f>I18*I19</f>
        <v>1445.59743113064</v>
      </c>
    </row>
    <row r="21" spans="2:9">
      <c r="F21" s="13"/>
      <c r="G21" s="13"/>
      <c r="H21" s="13"/>
      <c r="I21" s="13"/>
    </row>
  </sheetData>
  <mergeCells count="2">
    <mergeCell ref="B3:I3"/>
    <mergeCell ref="G4:G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穿梭车节拍计算</vt:lpstr>
      <vt:lpstr>换层提升机</vt:lpstr>
      <vt:lpstr>料箱提升机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lzg19</dc:creator>
  <cp:lastModifiedBy>CNW</cp:lastModifiedBy>
  <dcterms:created xsi:type="dcterms:W3CDTF">2024-07-30T17:32:00Z</dcterms:created>
  <dcterms:modified xsi:type="dcterms:W3CDTF">2026-07-10T06:42:55Z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7E9613C4794A48FDA2A0263C83E477B7_13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